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0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B28" i="1" l="1"/>
  <c r="B26" i="1"/>
  <c r="C28" i="1"/>
  <c r="C25" i="1"/>
  <c r="C24" i="1"/>
  <c r="B25" i="1"/>
  <c r="B24" i="1"/>
  <c r="B23" i="1"/>
  <c r="K23" i="1" l="1"/>
  <c r="K25" i="1" s="1"/>
  <c r="K22" i="1"/>
  <c r="K24" i="1"/>
  <c r="G24" i="1"/>
  <c r="K28" i="1"/>
  <c r="K30" i="1" s="1"/>
  <c r="K29" i="1"/>
  <c r="K27" i="1"/>
  <c r="G27" i="1"/>
  <c r="C23" i="1"/>
  <c r="F24" i="1"/>
  <c r="C26" i="1"/>
  <c r="F27" i="1"/>
  <c r="P4" i="1"/>
  <c r="Q4" i="1"/>
  <c r="P5" i="1"/>
  <c r="Q5" i="1"/>
  <c r="P6" i="1"/>
  <c r="Q6" i="1"/>
  <c r="P7" i="1"/>
  <c r="Q7" i="1"/>
  <c r="P8" i="1"/>
  <c r="Q8" i="1"/>
  <c r="Q3" i="1"/>
  <c r="P3" i="1"/>
  <c r="R8" i="1" l="1"/>
  <c r="S8" i="1"/>
  <c r="S6" i="1"/>
  <c r="R6" i="1"/>
  <c r="R4" i="1"/>
  <c r="S4" i="1"/>
  <c r="K31" i="1"/>
  <c r="R3" i="1"/>
  <c r="S3" i="1"/>
  <c r="S7" i="1"/>
  <c r="R7" i="1"/>
  <c r="R5" i="1"/>
  <c r="S5" i="1"/>
  <c r="K26" i="1"/>
  <c r="R15" i="1" l="1"/>
  <c r="R12" i="1"/>
  <c r="R13" i="1" s="1"/>
  <c r="K34" i="1" s="1"/>
  <c r="R14" i="1"/>
  <c r="R16" i="1" s="1"/>
  <c r="R18" i="1"/>
  <c r="R19" i="1" s="1"/>
  <c r="K39" i="1" s="1"/>
  <c r="R20" i="1"/>
  <c r="R22" i="1" s="1"/>
  <c r="R21" i="1"/>
  <c r="R23" i="1" s="1"/>
  <c r="R17" i="1" l="1"/>
  <c r="K35" i="1"/>
  <c r="K36" i="1" s="1"/>
  <c r="K40" i="1"/>
  <c r="K41" i="1" s="1"/>
</calcChain>
</file>

<file path=xl/sharedStrings.xml><?xml version="1.0" encoding="utf-8"?>
<sst xmlns="http://schemas.openxmlformats.org/spreadsheetml/2006/main" count="109" uniqueCount="67">
  <si>
    <t>Negatively charged SPAP</t>
  </si>
  <si>
    <t>Hydrogel 1</t>
  </si>
  <si>
    <t>Hydrogel 2</t>
  </si>
  <si>
    <t>Hydrogel 3</t>
  </si>
  <si>
    <t>Manual pH 7.00</t>
  </si>
  <si>
    <t>0,442 ml</t>
  </si>
  <si>
    <t>0,328 ml</t>
  </si>
  <si>
    <t>0,412 ml</t>
  </si>
  <si>
    <t xml:space="preserve">Machine EP </t>
  </si>
  <si>
    <t>Titration 0.0994 M NaOH</t>
  </si>
  <si>
    <t>pH 6.61 - 0,321 ml</t>
  </si>
  <si>
    <t>pH 6.78 - 0,428 ml</t>
  </si>
  <si>
    <t>ph 7.51 - 0,419 ml</t>
  </si>
  <si>
    <t>Note: hydrogel 1 was not stirred</t>
  </si>
  <si>
    <t>Positively charged METC</t>
  </si>
  <si>
    <t>Machine</t>
  </si>
  <si>
    <t>Equation: VNaOH/ghydrogel*CNaOH</t>
  </si>
  <si>
    <t>Mean</t>
  </si>
  <si>
    <t>STD</t>
  </si>
  <si>
    <t>A</t>
  </si>
  <si>
    <t>B</t>
  </si>
  <si>
    <t>C</t>
  </si>
  <si>
    <t>D</t>
  </si>
  <si>
    <t>E</t>
  </si>
  <si>
    <t>F</t>
  </si>
  <si>
    <t>S-</t>
  </si>
  <si>
    <t>M+</t>
  </si>
  <si>
    <t>0.7 g</t>
  </si>
  <si>
    <t>21-3-.12.15 arasi kurutuldu</t>
  </si>
  <si>
    <t>sample name</t>
  </si>
  <si>
    <t>Titration 0.1 M AgNO3</t>
  </si>
  <si>
    <t>Equation: VAgNO3/ghydrogel*CAgNO3</t>
  </si>
  <si>
    <t>1,6  ml</t>
  </si>
  <si>
    <t>2.1 ml</t>
  </si>
  <si>
    <t>mmol/gdry membrane</t>
  </si>
  <si>
    <t>IEC</t>
  </si>
  <si>
    <t>degree of charged groups</t>
  </si>
  <si>
    <t>%</t>
  </si>
  <si>
    <t>negatively charged</t>
  </si>
  <si>
    <t>positively charged</t>
  </si>
  <si>
    <t>ref: 1,5</t>
  </si>
  <si>
    <t>Definition</t>
  </si>
  <si>
    <t>Unit</t>
  </si>
  <si>
    <t>RESULTS</t>
  </si>
  <si>
    <t>average</t>
  </si>
  <si>
    <t>stand. Dev.</t>
  </si>
  <si>
    <t>95% CI</t>
  </si>
  <si>
    <t>students t</t>
  </si>
  <si>
    <t>swelling in DI</t>
  </si>
  <si>
    <t>dry</t>
  </si>
  <si>
    <t>wet</t>
  </si>
  <si>
    <t>dry + container</t>
  </si>
  <si>
    <t>wet + container</t>
  </si>
  <si>
    <t>container</t>
  </si>
  <si>
    <t>swelling degree</t>
  </si>
  <si>
    <t>SPAP (S-)</t>
  </si>
  <si>
    <t>METC (M+)</t>
  </si>
  <si>
    <t>For a known standard deviation:</t>
  </si>
  <si>
    <t>For an unknown standard deviation:</t>
  </si>
  <si>
    <t xml:space="preserve">https://en.wikipedia.org/wiki/Confidence_interval </t>
  </si>
  <si>
    <t>n</t>
  </si>
  <si>
    <t>Confidence interval on the mean value</t>
  </si>
  <si>
    <t>Calculation of charge density</t>
  </si>
  <si>
    <t>CD</t>
  </si>
  <si>
    <t>(95% CI)^2</t>
  </si>
  <si>
    <t>For calculating the error in the CD, the law of propagation of errors has been used</t>
  </si>
  <si>
    <t xml:space="preserve">https://en.wikipedia.org/wiki/Propagation_of_uncertainty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</si>
</sst>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 applyAlignment="1">
      <alignment horizontal="center"/>
    </xf>
    <xf numFmtId="0" fontId="0" fillId="3" borderId="0" xfId="0" applyFill="1"/>
    <xf numFmtId="2" fontId="0" fillId="3" borderId="0" xfId="0" applyNumberFormat="1" applyFill="1" applyAlignment="1">
      <alignment horizont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2" borderId="1" xfId="0" applyFill="1" applyBorder="1"/>
    <xf numFmtId="2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164" fontId="0" fillId="0" borderId="0" xfId="0" applyNumberFormat="1" applyFill="1" applyBorder="1"/>
    <xf numFmtId="166" fontId="0" fillId="0" borderId="0" xfId="0" applyNumberFormat="1" applyFill="1" applyBorder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2" fillId="0" borderId="0" xfId="1"/>
    <xf numFmtId="0" fontId="1" fillId="0" borderId="0" xfId="0" applyFont="1" applyFill="1" applyBorder="1"/>
    <xf numFmtId="166" fontId="0" fillId="0" borderId="0" xfId="0" applyNumberFormat="1"/>
    <xf numFmtId="1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23</xdr:row>
      <xdr:rowOff>9525</xdr:rowOff>
    </xdr:from>
    <xdr:to>
      <xdr:col>14</xdr:col>
      <xdr:colOff>542925</xdr:colOff>
      <xdr:row>25</xdr:row>
      <xdr:rowOff>28575</xdr:rowOff>
    </xdr:to>
    <xdr:pic>
      <xdr:nvPicPr>
        <xdr:cNvPr id="4" name="Picture 3" descr="(\bar{x} - z^* {\sigma \over \sqrt{n}}, \bar{x} + z^* {\sigma \over \sqrt{n}}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200525"/>
          <a:ext cx="18288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27</xdr:row>
      <xdr:rowOff>9525</xdr:rowOff>
    </xdr:from>
    <xdr:to>
      <xdr:col>14</xdr:col>
      <xdr:colOff>485775</xdr:colOff>
      <xdr:row>29</xdr:row>
      <xdr:rowOff>28575</xdr:rowOff>
    </xdr:to>
    <xdr:pic>
      <xdr:nvPicPr>
        <xdr:cNvPr id="5" name="Picture 4" descr="(\bar{x} - t^* {s \over \sqrt{n}}, \bar{x} + t^* {s \over \sqrt{n}}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62525"/>
          <a:ext cx="17716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Propagation_of_uncertainty" TargetMode="External"/><Relationship Id="rId1" Type="http://schemas.openxmlformats.org/officeDocument/2006/relationships/hyperlink" Target="https://en.wikipedia.org/wiki/Confidence_interva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B10" workbookViewId="0">
      <selection activeCell="M38" sqref="M38"/>
    </sheetView>
  </sheetViews>
  <sheetFormatPr defaultRowHeight="15" x14ac:dyDescent="0.25"/>
  <cols>
    <col min="1" max="1" width="23.42578125" bestFit="1" customWidth="1"/>
    <col min="2" max="2" width="20.7109375" customWidth="1"/>
    <col min="3" max="3" width="26.7109375" customWidth="1"/>
    <col min="4" max="4" width="16.28515625" bestFit="1" customWidth="1"/>
    <col min="9" max="9" width="10.7109375" bestFit="1" customWidth="1"/>
    <col min="10" max="11" width="12.85546875" bestFit="1" customWidth="1"/>
    <col min="14" max="14" width="10.140625" bestFit="1" customWidth="1"/>
    <col min="15" max="15" width="10.7109375" bestFit="1" customWidth="1"/>
    <col min="16" max="16" width="11" bestFit="1" customWidth="1"/>
    <col min="17" max="17" width="12.85546875" bestFit="1" customWidth="1"/>
    <col min="18" max="18" width="15.28515625" bestFit="1" customWidth="1"/>
    <col min="19" max="19" width="12.85546875" bestFit="1" customWidth="1"/>
  </cols>
  <sheetData>
    <row r="1" spans="1:19" x14ac:dyDescent="0.25">
      <c r="A1" t="s">
        <v>0</v>
      </c>
      <c r="B1" t="s">
        <v>9</v>
      </c>
      <c r="O1" t="s">
        <v>28</v>
      </c>
    </row>
    <row r="2" spans="1:19" x14ac:dyDescent="0.25">
      <c r="B2" t="s">
        <v>1</v>
      </c>
      <c r="C2" t="s">
        <v>2</v>
      </c>
      <c r="D2" t="s">
        <v>3</v>
      </c>
      <c r="E2" t="s">
        <v>13</v>
      </c>
      <c r="K2" t="s">
        <v>29</v>
      </c>
      <c r="L2" t="s">
        <v>27</v>
      </c>
      <c r="M2" t="s">
        <v>53</v>
      </c>
      <c r="N2" t="s">
        <v>52</v>
      </c>
      <c r="O2" t="s">
        <v>51</v>
      </c>
      <c r="P2" t="s">
        <v>50</v>
      </c>
      <c r="Q2" t="s">
        <v>49</v>
      </c>
      <c r="R2" t="s">
        <v>54</v>
      </c>
      <c r="S2" t="s">
        <v>54</v>
      </c>
    </row>
    <row r="3" spans="1:19" x14ac:dyDescent="0.25">
      <c r="A3" t="s">
        <v>4</v>
      </c>
      <c r="B3" t="s">
        <v>6</v>
      </c>
      <c r="C3" t="s">
        <v>5</v>
      </c>
      <c r="D3" t="s">
        <v>7</v>
      </c>
      <c r="K3" t="s">
        <v>19</v>
      </c>
      <c r="L3" t="s">
        <v>25</v>
      </c>
      <c r="M3">
        <v>2.59</v>
      </c>
      <c r="N3">
        <v>3.31</v>
      </c>
      <c r="O3">
        <v>2.71</v>
      </c>
      <c r="P3">
        <f>N3-M3</f>
        <v>0.7200000000000002</v>
      </c>
      <c r="Q3">
        <f>O3-M3</f>
        <v>0.12000000000000011</v>
      </c>
      <c r="R3" s="4">
        <f>(P3-Q3)/Q3</f>
        <v>4.9999999999999964</v>
      </c>
      <c r="S3" s="20">
        <f>(P3-Q3)/Q3*100</f>
        <v>499.99999999999966</v>
      </c>
    </row>
    <row r="4" spans="1:19" x14ac:dyDescent="0.25">
      <c r="A4" t="s">
        <v>8</v>
      </c>
      <c r="B4" t="s">
        <v>10</v>
      </c>
      <c r="C4" t="s">
        <v>11</v>
      </c>
      <c r="D4" t="s">
        <v>12</v>
      </c>
      <c r="K4" t="s">
        <v>20</v>
      </c>
      <c r="L4" t="s">
        <v>25</v>
      </c>
      <c r="M4">
        <v>2.57</v>
      </c>
      <c r="N4">
        <v>3.32</v>
      </c>
      <c r="O4">
        <v>2.7</v>
      </c>
      <c r="P4">
        <f t="shared" ref="P4:P8" si="0">N4-M4</f>
        <v>0.75</v>
      </c>
      <c r="Q4">
        <f t="shared" ref="Q4:Q8" si="1">O4-M4</f>
        <v>0.13000000000000034</v>
      </c>
      <c r="R4" s="4">
        <f t="shared" ref="R4:R8" si="2">(P4-Q4)/Q4</f>
        <v>4.7692307692307541</v>
      </c>
      <c r="S4" s="20">
        <f t="shared" ref="S4:S8" si="3">(P4-Q4)/Q4*100</f>
        <v>476.92307692307543</v>
      </c>
    </row>
    <row r="5" spans="1:19" x14ac:dyDescent="0.25">
      <c r="K5" t="s">
        <v>21</v>
      </c>
      <c r="L5" t="s">
        <v>25</v>
      </c>
      <c r="M5">
        <v>2.54</v>
      </c>
      <c r="N5">
        <v>3.28</v>
      </c>
      <c r="O5">
        <v>2.67</v>
      </c>
      <c r="P5">
        <f t="shared" si="0"/>
        <v>0.73999999999999977</v>
      </c>
      <c r="Q5">
        <f t="shared" si="1"/>
        <v>0.12999999999999989</v>
      </c>
      <c r="R5" s="4">
        <f t="shared" si="2"/>
        <v>4.6923076923076952</v>
      </c>
      <c r="S5" s="20">
        <f t="shared" si="3"/>
        <v>469.23076923076951</v>
      </c>
    </row>
    <row r="6" spans="1:19" x14ac:dyDescent="0.25">
      <c r="B6" s="1"/>
      <c r="C6" s="1"/>
      <c r="D6" s="1"/>
      <c r="F6" s="1" t="s">
        <v>16</v>
      </c>
      <c r="K6" t="s">
        <v>22</v>
      </c>
      <c r="L6" t="s">
        <v>26</v>
      </c>
      <c r="M6">
        <v>2.56</v>
      </c>
      <c r="N6">
        <v>3.33</v>
      </c>
      <c r="O6">
        <v>2.69</v>
      </c>
      <c r="P6">
        <f t="shared" si="0"/>
        <v>0.77</v>
      </c>
      <c r="Q6">
        <f t="shared" si="1"/>
        <v>0.12999999999999989</v>
      </c>
      <c r="R6" s="4">
        <f t="shared" si="2"/>
        <v>4.9230769230769278</v>
      </c>
      <c r="S6" s="20">
        <f t="shared" si="3"/>
        <v>492.30769230769278</v>
      </c>
    </row>
    <row r="7" spans="1:19" x14ac:dyDescent="0.25">
      <c r="B7" s="16"/>
      <c r="C7" s="16"/>
      <c r="D7" s="16"/>
      <c r="K7" t="s">
        <v>23</v>
      </c>
      <c r="L7" t="s">
        <v>26</v>
      </c>
      <c r="M7">
        <v>2.56</v>
      </c>
      <c r="N7">
        <v>3.29</v>
      </c>
      <c r="O7">
        <v>2.68</v>
      </c>
      <c r="P7">
        <f t="shared" si="0"/>
        <v>0.73</v>
      </c>
      <c r="Q7">
        <f t="shared" si="1"/>
        <v>0.12000000000000011</v>
      </c>
      <c r="R7" s="4">
        <f t="shared" si="2"/>
        <v>5.0833333333333277</v>
      </c>
      <c r="S7" s="20">
        <f t="shared" si="3"/>
        <v>508.33333333333275</v>
      </c>
    </row>
    <row r="8" spans="1:19" x14ac:dyDescent="0.25">
      <c r="K8" t="s">
        <v>24</v>
      </c>
      <c r="L8" t="s">
        <v>26</v>
      </c>
      <c r="M8">
        <v>2.52</v>
      </c>
      <c r="N8">
        <v>3.31</v>
      </c>
      <c r="O8">
        <v>2.66</v>
      </c>
      <c r="P8">
        <f t="shared" si="0"/>
        <v>0.79</v>
      </c>
      <c r="Q8">
        <f t="shared" si="1"/>
        <v>0.14000000000000012</v>
      </c>
      <c r="R8" s="4">
        <f t="shared" si="2"/>
        <v>4.6428571428571379</v>
      </c>
      <c r="S8" s="20">
        <f t="shared" si="3"/>
        <v>464.28571428571377</v>
      </c>
    </row>
    <row r="9" spans="1:19" x14ac:dyDescent="0.25">
      <c r="A9" t="s">
        <v>14</v>
      </c>
      <c r="B9" t="s">
        <v>30</v>
      </c>
    </row>
    <row r="10" spans="1:19" x14ac:dyDescent="0.25">
      <c r="B10" t="s">
        <v>1</v>
      </c>
      <c r="C10" t="s">
        <v>2</v>
      </c>
      <c r="D10" t="s">
        <v>3</v>
      </c>
      <c r="E10" t="s">
        <v>13</v>
      </c>
    </row>
    <row r="11" spans="1:19" x14ac:dyDescent="0.25">
      <c r="A11" t="s">
        <v>15</v>
      </c>
      <c r="B11" t="s">
        <v>32</v>
      </c>
      <c r="D11" t="s">
        <v>33</v>
      </c>
    </row>
    <row r="12" spans="1:19" x14ac:dyDescent="0.25">
      <c r="P12" s="21" t="s">
        <v>55</v>
      </c>
      <c r="Q12" t="s">
        <v>44</v>
      </c>
      <c r="R12" s="19">
        <f>AVERAGE(R3:R5)</f>
        <v>4.8205128205128149</v>
      </c>
    </row>
    <row r="13" spans="1:19" x14ac:dyDescent="0.25">
      <c r="B13" s="1"/>
      <c r="C13" s="1"/>
      <c r="D13" s="1"/>
      <c r="F13" s="1" t="s">
        <v>31</v>
      </c>
      <c r="Q13" t="s">
        <v>48</v>
      </c>
      <c r="R13" s="19">
        <f>1.15*R12</f>
        <v>5.5435897435897363</v>
      </c>
    </row>
    <row r="14" spans="1:19" x14ac:dyDescent="0.25">
      <c r="B14" s="17"/>
      <c r="C14" s="17"/>
      <c r="D14" s="17"/>
      <c r="Q14" t="s">
        <v>60</v>
      </c>
      <c r="R14">
        <f>COUNT(R3:R5)</f>
        <v>3</v>
      </c>
    </row>
    <row r="15" spans="1:19" x14ac:dyDescent="0.25">
      <c r="Q15" t="s">
        <v>45</v>
      </c>
      <c r="R15" s="19">
        <f>STDEV(R3:R5)</f>
        <v>0.16012815380508641</v>
      </c>
    </row>
    <row r="16" spans="1:19" x14ac:dyDescent="0.25">
      <c r="Q16" t="s">
        <v>47</v>
      </c>
      <c r="R16" s="19">
        <f>_xlfn.T.INV.2T(0.05,(R14-1))</f>
        <v>4.3026527297494637</v>
      </c>
    </row>
    <row r="17" spans="1:18" x14ac:dyDescent="0.25">
      <c r="Q17" t="s">
        <v>46</v>
      </c>
      <c r="R17" s="19">
        <f>R15*R16/SQRT(R14)</f>
        <v>0.39778038558017242</v>
      </c>
    </row>
    <row r="18" spans="1:18" x14ac:dyDescent="0.25">
      <c r="A18" s="2"/>
      <c r="B18" s="2"/>
      <c r="C18" s="2"/>
      <c r="P18" s="21" t="s">
        <v>56</v>
      </c>
      <c r="Q18" t="s">
        <v>44</v>
      </c>
      <c r="R18" s="19">
        <f>AVERAGE(R6:R8)</f>
        <v>4.8830891330891317</v>
      </c>
    </row>
    <row r="19" spans="1:18" x14ac:dyDescent="0.25">
      <c r="A19" s="10" t="s">
        <v>43</v>
      </c>
      <c r="B19" s="2"/>
      <c r="C19" s="3"/>
      <c r="Q19" t="s">
        <v>48</v>
      </c>
      <c r="R19" s="19">
        <f>1.15*R18</f>
        <v>5.6155525030525011</v>
      </c>
    </row>
    <row r="20" spans="1:18" x14ac:dyDescent="0.25">
      <c r="A20" t="s">
        <v>40</v>
      </c>
      <c r="B20" s="3"/>
      <c r="C20" s="3"/>
      <c r="Q20" t="s">
        <v>60</v>
      </c>
      <c r="R20">
        <f>COUNT(R6:R8)</f>
        <v>3</v>
      </c>
    </row>
    <row r="21" spans="1:18" x14ac:dyDescent="0.25">
      <c r="A21" t="s">
        <v>41</v>
      </c>
      <c r="B21" s="5" t="s">
        <v>35</v>
      </c>
      <c r="C21" s="5" t="s">
        <v>36</v>
      </c>
      <c r="Q21" t="s">
        <v>45</v>
      </c>
      <c r="R21" s="19">
        <f>STDEV(R6:R8)</f>
        <v>0.22294413225107598</v>
      </c>
    </row>
    <row r="22" spans="1:18" x14ac:dyDescent="0.25">
      <c r="A22" t="s">
        <v>42</v>
      </c>
      <c r="B22" s="5" t="s">
        <v>34</v>
      </c>
      <c r="C22" s="5" t="s">
        <v>37</v>
      </c>
      <c r="F22" s="11" t="s">
        <v>35</v>
      </c>
      <c r="G22" s="11"/>
      <c r="I22" s="21" t="s">
        <v>55</v>
      </c>
      <c r="J22" t="s">
        <v>44</v>
      </c>
      <c r="K22" s="19">
        <f>AVERAGE(B23:B25)</f>
        <v>0.3082249572649573</v>
      </c>
      <c r="M22" s="21" t="s">
        <v>61</v>
      </c>
      <c r="Q22" t="s">
        <v>47</v>
      </c>
      <c r="R22" s="19">
        <f>_xlfn.T.INV.2T(0.05,(R20-1))</f>
        <v>4.3026527297494637</v>
      </c>
    </row>
    <row r="23" spans="1:18" x14ac:dyDescent="0.25">
      <c r="A23" s="6" t="s">
        <v>19</v>
      </c>
      <c r="B23" s="7">
        <f>(0.0994*0.328)/0.12</f>
        <v>0.27169333333333334</v>
      </c>
      <c r="C23" s="7">
        <f>(288*B23*10^-1)/(1-(103*B23*10^-3))</f>
        <v>8.0500437516989614</v>
      </c>
      <c r="D23" s="6" t="s">
        <v>38</v>
      </c>
      <c r="E23" s="6"/>
      <c r="F23" s="12" t="s">
        <v>17</v>
      </c>
      <c r="G23" s="12" t="s">
        <v>18</v>
      </c>
      <c r="J23" t="s">
        <v>60</v>
      </c>
      <c r="K23">
        <f>COUNT(B23:B25)</f>
        <v>3</v>
      </c>
      <c r="M23" t="s">
        <v>57</v>
      </c>
      <c r="Q23" t="s">
        <v>46</v>
      </c>
      <c r="R23" s="19">
        <f>R21*R22/SQRT(R20)</f>
        <v>0.55382392653835111</v>
      </c>
    </row>
    <row r="24" spans="1:18" x14ac:dyDescent="0.25">
      <c r="A24" s="6" t="s">
        <v>20</v>
      </c>
      <c r="B24" s="7">
        <f>(0.0994*0.442)/0.13</f>
        <v>0.33796000000000004</v>
      </c>
      <c r="C24" s="7">
        <f t="shared" ref="C24" si="4">(288*B24*10^-1)/(1-(103*B24*10^-3))</f>
        <v>10.084280597484774</v>
      </c>
      <c r="D24" s="6"/>
      <c r="E24" s="6"/>
      <c r="F24" s="13">
        <f>AVERAGE(B23:B25)</f>
        <v>0.3082249572649573</v>
      </c>
      <c r="G24" s="12">
        <f>STDEV(B23:B25)</f>
        <v>3.3652086335754415E-2</v>
      </c>
      <c r="J24" t="s">
        <v>45</v>
      </c>
      <c r="K24" s="19">
        <f>STDEV(B23:B25)</f>
        <v>3.3652086335754415E-2</v>
      </c>
    </row>
    <row r="25" spans="1:18" x14ac:dyDescent="0.25">
      <c r="A25" s="6" t="s">
        <v>21</v>
      </c>
      <c r="B25" s="7">
        <f>(0.0994*0.412)/0.13</f>
        <v>0.31502153846153841</v>
      </c>
      <c r="C25" s="7">
        <f>(288*B25*10^-1)/(1-(103*B25*10^-3))</f>
        <v>9.376873779708788</v>
      </c>
      <c r="D25" s="6"/>
      <c r="E25" s="6"/>
      <c r="F25" s="12"/>
      <c r="G25" s="12"/>
      <c r="J25" t="s">
        <v>47</v>
      </c>
      <c r="K25" s="19">
        <f>_xlfn.T.INV.2T(0.05,(K23-1))</f>
        <v>4.3026527297494637</v>
      </c>
    </row>
    <row r="26" spans="1:18" x14ac:dyDescent="0.25">
      <c r="A26" s="8" t="s">
        <v>22</v>
      </c>
      <c r="B26" s="9">
        <f>(0.1*1.6)/0.13</f>
        <v>1.2307692307692311</v>
      </c>
      <c r="C26" s="9">
        <f>(288*B26*10^-1)/(1-(103*B26*10^-3))</f>
        <v>40.591966173361534</v>
      </c>
      <c r="D26" s="8" t="s">
        <v>39</v>
      </c>
      <c r="E26" s="8"/>
      <c r="F26" s="14" t="s">
        <v>17</v>
      </c>
      <c r="G26" s="14" t="s">
        <v>18</v>
      </c>
      <c r="J26" t="s">
        <v>46</v>
      </c>
      <c r="K26" s="18">
        <f>K24*K25/SQRT(K23)</f>
        <v>8.3596416745725557E-2</v>
      </c>
    </row>
    <row r="27" spans="1:18" x14ac:dyDescent="0.25">
      <c r="A27" s="8" t="s">
        <v>23</v>
      </c>
      <c r="B27" s="9"/>
      <c r="C27" s="9"/>
      <c r="D27" s="8"/>
      <c r="E27" s="8"/>
      <c r="F27" s="15">
        <f>AVERAGE(B26:B28)</f>
        <v>1.3653846153846154</v>
      </c>
      <c r="G27" s="14">
        <f>STDEV(B26:B28)</f>
        <v>0.19037490262714721</v>
      </c>
      <c r="I27" s="23" t="s">
        <v>56</v>
      </c>
      <c r="J27" t="s">
        <v>44</v>
      </c>
      <c r="K27" s="19">
        <f>AVERAGE(B26:B28)</f>
        <v>1.3653846153846154</v>
      </c>
      <c r="M27" t="s">
        <v>58</v>
      </c>
    </row>
    <row r="28" spans="1:18" x14ac:dyDescent="0.25">
      <c r="A28" s="8" t="s">
        <v>24</v>
      </c>
      <c r="B28" s="9">
        <f>(0.1*2.1)/0.14</f>
        <v>1.5</v>
      </c>
      <c r="C28" s="9">
        <f t="shared" ref="C28" si="5">(288*B28*10^-1)/(1-(103*B28*10^-3))</f>
        <v>51.094027202838561</v>
      </c>
      <c r="D28" s="8"/>
      <c r="E28" s="8"/>
      <c r="F28" s="14"/>
      <c r="G28" s="14"/>
      <c r="J28" t="s">
        <v>60</v>
      </c>
      <c r="K28">
        <f>COUNT(B26:B28)</f>
        <v>2</v>
      </c>
    </row>
    <row r="29" spans="1:18" x14ac:dyDescent="0.25">
      <c r="J29" t="s">
        <v>45</v>
      </c>
      <c r="K29" s="19">
        <f>STDEV(B26:B28)</f>
        <v>0.19037490262714721</v>
      </c>
    </row>
    <row r="30" spans="1:18" x14ac:dyDescent="0.25">
      <c r="J30" t="s">
        <v>47</v>
      </c>
      <c r="K30" s="19">
        <f>_xlfn.T.INV.2T(0.05,(K28-1))</f>
        <v>12.706204736174707</v>
      </c>
    </row>
    <row r="31" spans="1:18" x14ac:dyDescent="0.25">
      <c r="J31" t="s">
        <v>46</v>
      </c>
      <c r="K31" s="19">
        <f>K29*K30/SQRT(K28)</f>
        <v>1.7104506375619779</v>
      </c>
      <c r="M31" s="22" t="s">
        <v>59</v>
      </c>
    </row>
    <row r="33" spans="9:13" x14ac:dyDescent="0.25">
      <c r="I33" s="21" t="s">
        <v>62</v>
      </c>
      <c r="M33" s="21" t="s">
        <v>65</v>
      </c>
    </row>
    <row r="34" spans="9:13" x14ac:dyDescent="0.25">
      <c r="I34" s="21" t="s">
        <v>55</v>
      </c>
      <c r="J34" t="s">
        <v>63</v>
      </c>
      <c r="K34" s="18">
        <f>K22/R13</f>
        <v>5.5600246685168137E-2</v>
      </c>
      <c r="M34" s="22" t="s">
        <v>66</v>
      </c>
    </row>
    <row r="35" spans="9:13" x14ac:dyDescent="0.25">
      <c r="J35" t="s">
        <v>64</v>
      </c>
      <c r="K35" s="25">
        <f>K26^2*(1/R13)^2 + R17^2*(K22/R13^2)^2</f>
        <v>2.4331829545777789E-4</v>
      </c>
    </row>
    <row r="36" spans="9:13" x14ac:dyDescent="0.25">
      <c r="J36" t="s">
        <v>46</v>
      </c>
      <c r="K36" s="24">
        <f>SQRT(K35)</f>
        <v>1.5598663258682709E-2</v>
      </c>
    </row>
    <row r="39" spans="9:13" x14ac:dyDescent="0.25">
      <c r="I39" s="23" t="s">
        <v>56</v>
      </c>
      <c r="J39" t="s">
        <v>63</v>
      </c>
      <c r="K39" s="18">
        <f>K27/R19</f>
        <v>0.24314341547735863</v>
      </c>
    </row>
    <row r="40" spans="9:13" x14ac:dyDescent="0.25">
      <c r="J40" t="s">
        <v>64</v>
      </c>
      <c r="K40" s="25">
        <f>K31^2*(1/R19)^2 + R23^2*(K27/R19^2)^2</f>
        <v>9.3351119431341931E-2</v>
      </c>
    </row>
    <row r="41" spans="9:13" x14ac:dyDescent="0.25">
      <c r="J41" t="s">
        <v>46</v>
      </c>
      <c r="K41" s="24">
        <f>SQRT(K40)</f>
        <v>0.30553415427958613</v>
      </c>
    </row>
  </sheetData>
  <hyperlinks>
    <hyperlink ref="M31" r:id="rId1"/>
    <hyperlink ref="M3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2016-06-03T13:21:58Z</dcterms:modified>
</cp:coreProperties>
</file>